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verage Energy Usage" sheetId="1" state="visible" r:id="rId2"/>
    <sheet name="TDCV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<sst xmlns="http://schemas.openxmlformats.org/spreadsheetml/2006/main" count="109" uniqueCount="61">
  <si>
    <t xml:space="preserve">Average Gas Cost 2020/21 (£)</t>
  </si>
  <si>
    <t xml:space="preserve">Gas usage based on (kWh)</t>
  </si>
  <si>
    <t xml:space="preserve">(using 13600kWh as based on that figure rather than TDCV)</t>
  </si>
  <si>
    <t xml:space="preserve">Average Elec Cost 2020/21 (£)</t>
  </si>
  <si>
    <t xml:space="preserve">Elec usage based on (kWh)</t>
  </si>
  <si>
    <t xml:space="preserve">(using 3600kWh as based on that figure rather than TDCV)</t>
  </si>
  <si>
    <t xml:space="preserve">Total Cost 2020/21 (£)</t>
  </si>
  <si>
    <t xml:space="preserve">Intercept Value =</t>
  </si>
  <si>
    <t xml:space="preserve">TDCV 2021 Gas</t>
  </si>
  <si>
    <t xml:space="preserve">TDCV 2021 Elec</t>
  </si>
  <si>
    <t xml:space="preserve">Floor Area =</t>
  </si>
  <si>
    <t xml:space="preserve">(Median value is 98, use actual floor area in metres squared if known)</t>
  </si>
  <si>
    <t xml:space="preserve">Modern Boiler</t>
  </si>
  <si>
    <t xml:space="preserve">(-6.2 if installed, 0 if not) </t>
  </si>
  <si>
    <t xml:space="preserve">Cavity Wall Insulation</t>
  </si>
  <si>
    <t xml:space="preserve">(-7.6 if installed, 0 if not)</t>
  </si>
  <si>
    <t xml:space="preserve">(54.1% of properties in Staffordshire with C energy rating)</t>
  </si>
  <si>
    <t xml:space="preserve">Loft Insulation </t>
  </si>
  <si>
    <t xml:space="preserve">(-3.8 if installed, 0 if not)</t>
  </si>
  <si>
    <t xml:space="preserve">Bedrooms (3) = </t>
  </si>
  <si>
    <t xml:space="preserve">(1bed = 0, 2bed = -16.8, 3bed = -21.9, 4bed = -27.6, 5bed or more = -33.5) (26.5% of houses in Staffordshire had 5 habitable rooms in 2011)</t>
  </si>
  <si>
    <t xml:space="preserve">Date (pre 1919) = </t>
  </si>
  <si>
    <t xml:space="preserve">(pre 1919 = 0, 1919 to 44 = +2.3, 1945 to 64 =  -5.8, 1965 to 82  = -15.2, 1983 to 92 = -23.6, 1993 to 99 = -27.1, 2000 to 2011 = -36, 2012 on = -57.8)(20.8% of England houses are pre 1919)</t>
  </si>
  <si>
    <t xml:space="preserve">Tenure</t>
  </si>
  <si>
    <t xml:space="preserve">(0 if owner occupied, -1.0 if privately rented, -8.9 if Council/Housing association)(73% owner occupied in Staffordshire in 2011)</t>
  </si>
  <si>
    <t xml:space="preserve">Gas (kWh)</t>
  </si>
  <si>
    <t xml:space="preserve">Yorkshire</t>
  </si>
  <si>
    <t xml:space="preserve">N.E.</t>
  </si>
  <si>
    <t xml:space="preserve">E.Midlands</t>
  </si>
  <si>
    <t xml:space="preserve">N.W.</t>
  </si>
  <si>
    <t xml:space="preserve">W.Midlands</t>
  </si>
  <si>
    <t xml:space="preserve">East England</t>
  </si>
  <si>
    <t xml:space="preserve">Wales</t>
  </si>
  <si>
    <t xml:space="preserve">London</t>
  </si>
  <si>
    <t xml:space="preserve">S.East</t>
  </si>
  <si>
    <t xml:space="preserve">S.West</t>
  </si>
  <si>
    <t xml:space="preserve">SINGLE TERRACE</t>
  </si>
  <si>
    <t xml:space="preserve">COUPLE TERRACE</t>
  </si>
  <si>
    <t xml:space="preserve">SINGLE SEMI</t>
  </si>
  <si>
    <t xml:space="preserve">COUPLE SEMI</t>
  </si>
  <si>
    <t xml:space="preserve">SiNGLE DETACH</t>
  </si>
  <si>
    <t xml:space="preserve">COUPLE DETACH</t>
  </si>
  <si>
    <t xml:space="preserve">Gas (comparable)</t>
  </si>
  <si>
    <t xml:space="preserve">Elec (comparable)</t>
  </si>
  <si>
    <t xml:space="preserve">Gas/Elec (£)</t>
  </si>
  <si>
    <t xml:space="preserve">Values to be changed annually</t>
  </si>
  <si>
    <t xml:space="preserve">Values which could be adjusted for each property</t>
  </si>
  <si>
    <t xml:space="preserve">Reference:https://www.gov.uk/government/collections/quarterly-energy-prices</t>
  </si>
  <si>
    <t xml:space="preserve">Reference: https://assets.publishing.service.gov.uk/government/uploads/system/uploads/attachment_data/file/812418/Annex_D_Determinants_of_household_gas_use.pdf</t>
  </si>
  <si>
    <t xml:space="preserve">Reference: https://assets.publishing.service.gov.uk/government/uploads/system/uploads/attachment_data/file/209089/National_Energy_Efficiency_Data-framework_June_2013_Part_I.pdf</t>
  </si>
  <si>
    <t xml:space="preserve">Referenc: https://www.staffordshire.gov.uk/Care-for-all-ages/Information-for-providers/Market-Intelligence/Market-position-statement-intelligence/Staffordshire-Evidence-Base-Population-Demographics-and-Adult-Social-Care-Needs.pdf</t>
  </si>
  <si>
    <t xml:space="preserve">Reference: https://www.plumplot.co.uk/Staffordshire-home-features.html</t>
  </si>
  <si>
    <t xml:space="preserve">Reference: https://files.bregroup.com/bretrust/The-Housing-Stock-of-the-United-Kingdom_Report_BRE-Trust.pdf</t>
  </si>
  <si>
    <t xml:space="preserve">Typcial Domestic Consumption Volume</t>
  </si>
  <si>
    <t xml:space="preserve">Year</t>
  </si>
  <si>
    <t xml:space="preserve">Gas TDCV</t>
  </si>
  <si>
    <t xml:space="preserve">Elec TDCV</t>
  </si>
  <si>
    <t xml:space="preserve">Reference: https://www.ofgem.gov.uk/sites/default/files/docs/2013/09/review-typical-domestic-consumption-values.pdf</t>
  </si>
  <si>
    <t xml:space="preserve">Reference: https://www.ofgem.gov.uk/sites/default/files/docs/2015/05/tdcvs_2015_decision_1.pdf</t>
  </si>
  <si>
    <t xml:space="preserve">Reference: https://www.ofgem.gov.uk/publications-and-updates/typical-domestic-consumption-values-2017-decision-letter-0</t>
  </si>
  <si>
    <t xml:space="preserve">Reference: https://www.ofgem.gov.uk/system/files/docs/2020/01/tdcvs_2020_decision_letter_0.pdf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</si>
</sst>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FFFF99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RowHeight="12.8" zeroHeight="false" outlineLevelRow="0" outlineLevelCol="0"/>
  <cols>
    <col collapsed="false" customWidth="true" hidden="false" outlineLevel="0" max="1" min="1" style="0" width="17.52"/>
    <col collapsed="false" customWidth="false" hidden="false" outlineLevel="0" max="2" min="2" style="0" width="11.52"/>
    <col collapsed="false" customWidth="true" hidden="false" outlineLevel="0" max="3" min="3" style="0" width="9.03"/>
    <col collapsed="false" customWidth="true" hidden="false" outlineLevel="0" max="4" min="4" style="0" width="12.1"/>
    <col collapsed="false" customWidth="true" hidden="false" outlineLevel="0" max="5" min="5" style="0" width="10.28"/>
    <col collapsed="false" customWidth="true" hidden="false" outlineLevel="0" max="6" min="6" style="0" width="12.9"/>
    <col collapsed="false" customWidth="true" hidden="false" outlineLevel="0" max="7" min="7" style="0" width="13.63"/>
    <col collapsed="false" customWidth="true" hidden="false" outlineLevel="0" max="8" min="8" style="0" width="11.64"/>
    <col collapsed="false" customWidth="true" hidden="false" outlineLevel="0" max="9" min="9" style="0" width="10"/>
    <col collapsed="false" customWidth="true" hidden="false" outlineLevel="0" max="10" min="10" style="0" width="10.12"/>
    <col collapsed="false" customWidth="false" hidden="false" outlineLevel="0" max="1025" min="11" style="0" width="11.52"/>
  </cols>
  <sheetData>
    <row r="1" customFormat="false" ht="12.8" hidden="false" customHeight="false" outlineLevel="0" collapsed="false">
      <c r="G1" s="1"/>
      <c r="H1" s="1"/>
      <c r="J1" s="1"/>
    </row>
    <row r="2" customFormat="false" ht="12.8" hidden="false" customHeight="false" outlineLevel="0" collapsed="false">
      <c r="A2" s="0" t="s">
        <v>0</v>
      </c>
      <c r="C2" s="2" t="n">
        <v>557</v>
      </c>
      <c r="E2" s="0" t="s">
        <v>1</v>
      </c>
      <c r="G2" s="2" t="n">
        <v>13600</v>
      </c>
      <c r="H2" s="0" t="s">
        <v>2</v>
      </c>
      <c r="J2" s="1"/>
    </row>
    <row r="3" customFormat="false" ht="12.8" hidden="false" customHeight="false" outlineLevel="0" collapsed="false">
      <c r="A3" s="0" t="s">
        <v>3</v>
      </c>
      <c r="C3" s="2" t="n">
        <v>707</v>
      </c>
      <c r="E3" s="0" t="s">
        <v>4</v>
      </c>
      <c r="G3" s="2" t="n">
        <v>3600</v>
      </c>
      <c r="H3" s="0" t="s">
        <v>5</v>
      </c>
      <c r="J3" s="1"/>
    </row>
    <row r="4" customFormat="false" ht="12.8" hidden="false" customHeight="false" outlineLevel="0" collapsed="false">
      <c r="A4" s="0" t="s">
        <v>6</v>
      </c>
      <c r="C4" s="0" t="n">
        <f aca="false">C2+C3</f>
        <v>1264</v>
      </c>
      <c r="E4" s="1" t="s">
        <v>7</v>
      </c>
      <c r="G4" s="0" t="n">
        <v>159</v>
      </c>
      <c r="H4" s="1"/>
      <c r="J4" s="1"/>
    </row>
    <row r="5" customFormat="false" ht="12.8" hidden="false" customHeight="false" outlineLevel="0" collapsed="false">
      <c r="E5" s="1"/>
      <c r="H5" s="1"/>
      <c r="J5" s="1"/>
    </row>
    <row r="6" customFormat="false" ht="12.8" hidden="false" customHeight="false" outlineLevel="0" collapsed="false">
      <c r="A6" s="0" t="s">
        <v>8</v>
      </c>
      <c r="C6" s="2" t="n">
        <v>12000</v>
      </c>
      <c r="E6" s="1"/>
      <c r="H6" s="1"/>
      <c r="J6" s="1"/>
    </row>
    <row r="7" customFormat="false" ht="12.8" hidden="false" customHeight="false" outlineLevel="0" collapsed="false">
      <c r="A7" s="0" t="s">
        <v>9</v>
      </c>
      <c r="C7" s="2" t="n">
        <v>2900</v>
      </c>
      <c r="E7" s="1"/>
      <c r="H7" s="1"/>
      <c r="J7" s="1"/>
    </row>
    <row r="8" customFormat="false" ht="12.8" hidden="false" customHeight="false" outlineLevel="0" collapsed="false">
      <c r="G8" s="1"/>
      <c r="H8" s="1"/>
      <c r="J8" s="1"/>
    </row>
    <row r="9" customFormat="false" ht="12.8" hidden="false" customHeight="false" outlineLevel="0" collapsed="false">
      <c r="A9" s="1" t="s">
        <v>10</v>
      </c>
      <c r="D9" s="3" t="n">
        <v>98</v>
      </c>
      <c r="E9" s="0" t="s">
        <v>11</v>
      </c>
      <c r="G9" s="1"/>
      <c r="H9" s="1"/>
      <c r="J9" s="1"/>
    </row>
    <row r="10" customFormat="false" ht="12.8" hidden="false" customHeight="false" outlineLevel="0" collapsed="false">
      <c r="A10" s="0" t="s">
        <v>12</v>
      </c>
      <c r="D10" s="3" t="n">
        <v>-6.2</v>
      </c>
      <c r="E10" s="0" t="s">
        <v>13</v>
      </c>
    </row>
    <row r="11" customFormat="false" ht="12.8" hidden="false" customHeight="false" outlineLevel="0" collapsed="false">
      <c r="A11" s="0" t="s">
        <v>14</v>
      </c>
      <c r="D11" s="3" t="n">
        <v>-7.6</v>
      </c>
      <c r="E11" s="0" t="s">
        <v>15</v>
      </c>
      <c r="G11" s="0" t="s">
        <v>16</v>
      </c>
    </row>
    <row r="12" customFormat="false" ht="12.8" hidden="false" customHeight="false" outlineLevel="0" collapsed="false">
      <c r="A12" s="0" t="s">
        <v>17</v>
      </c>
      <c r="D12" s="3" t="n">
        <v>-3.8</v>
      </c>
      <c r="E12" s="4" t="s">
        <v>18</v>
      </c>
    </row>
    <row r="13" customFormat="false" ht="12.8" hidden="false" customHeight="false" outlineLevel="0" collapsed="false">
      <c r="A13" s="0" t="s">
        <v>19</v>
      </c>
      <c r="D13" s="3" t="n">
        <v>-21.9</v>
      </c>
      <c r="E13" s="0" t="s">
        <v>20</v>
      </c>
    </row>
    <row r="14" customFormat="false" ht="12.8" hidden="false" customHeight="false" outlineLevel="0" collapsed="false">
      <c r="A14" s="0" t="s">
        <v>21</v>
      </c>
      <c r="D14" s="3" t="n">
        <v>0</v>
      </c>
      <c r="E14" s="0" t="s">
        <v>22</v>
      </c>
    </row>
    <row r="15" customFormat="false" ht="12.8" hidden="false" customHeight="false" outlineLevel="0" collapsed="false">
      <c r="A15" s="0" t="s">
        <v>23</v>
      </c>
      <c r="D15" s="3" t="n">
        <v>0</v>
      </c>
      <c r="E15" s="0" t="s">
        <v>24</v>
      </c>
    </row>
    <row r="17" customFormat="false" ht="12.8" hidden="false" customHeight="false" outlineLevel="0" collapsed="false">
      <c r="G17" s="1"/>
      <c r="H17" s="1"/>
      <c r="J17" s="1"/>
    </row>
    <row r="18" customFormat="false" ht="12.8" hidden="false" customHeight="false" outlineLevel="0" collapsed="false">
      <c r="A18" s="5" t="s">
        <v>25</v>
      </c>
      <c r="B18" s="5" t="s">
        <v>26</v>
      </c>
      <c r="C18" s="5" t="s">
        <v>27</v>
      </c>
      <c r="D18" s="6" t="s">
        <v>28</v>
      </c>
      <c r="E18" s="5" t="s">
        <v>29</v>
      </c>
      <c r="F18" s="6" t="s">
        <v>30</v>
      </c>
      <c r="G18" s="6" t="s">
        <v>31</v>
      </c>
      <c r="H18" s="6" t="s">
        <v>32</v>
      </c>
      <c r="I18" s="6" t="s">
        <v>33</v>
      </c>
      <c r="J18" s="5" t="s">
        <v>34</v>
      </c>
      <c r="K18" s="5" t="s">
        <v>35</v>
      </c>
    </row>
    <row r="19" customFormat="false" ht="12.8" hidden="false" customHeight="false" outlineLevel="0" collapsed="false">
      <c r="A19" s="5" t="s">
        <v>36</v>
      </c>
      <c r="B19" s="5" t="n">
        <f aca="false">($G$4-2.8+SUM($D$10:$D$15))*$D$9</f>
        <v>11436.6</v>
      </c>
      <c r="C19" s="5" t="n">
        <f aca="false">($G$4+0+SUM($D$10:$D$15))*$D$9</f>
        <v>11711</v>
      </c>
      <c r="D19" s="7" t="n">
        <f aca="false">($G$4-7.5+SUM($D$10:$D$15))*$D$9</f>
        <v>10976</v>
      </c>
      <c r="E19" s="5" t="n">
        <f aca="false">($G$4-11.4+SUM($D$10:$D$15))*$D$9</f>
        <v>10593.8</v>
      </c>
      <c r="F19" s="7" t="n">
        <f aca="false">($G$4-6.5+SUM($D$10:$D$15))*$D$9</f>
        <v>11074</v>
      </c>
      <c r="G19" s="7" t="n">
        <f aca="false">($G$4-9.7+SUM($D$10:$D$15))*$D$9</f>
        <v>10760.4</v>
      </c>
      <c r="H19" s="7" t="n">
        <f aca="false">($G$4-17.5+SUM($D$10:$D$15))*$D$9</f>
        <v>9996</v>
      </c>
      <c r="I19" s="7" t="n">
        <f aca="false">($G$4-5.1+SUM($D$10:$D$15))*$D$9</f>
        <v>11211.2</v>
      </c>
      <c r="J19" s="7" t="n">
        <f aca="false">($G$4-13.3+SUM($D$10:$D$15))*$D$9</f>
        <v>10407.6</v>
      </c>
      <c r="K19" s="7" t="n">
        <f aca="false">($G$4-26.5+SUM($D$10:$D$15))*$D$9</f>
        <v>9114</v>
      </c>
    </row>
    <row r="20" customFormat="false" ht="12.8" hidden="false" customHeight="false" outlineLevel="0" collapsed="false">
      <c r="A20" s="5" t="s">
        <v>37</v>
      </c>
      <c r="B20" s="5" t="n">
        <f aca="false">($G$4-2.8+8.6+SUM($D$10:$D$15))*$D$9</f>
        <v>12279.4</v>
      </c>
      <c r="C20" s="5" t="n">
        <f aca="false">($G$4+0+8.6+SUM($D$10:$D$15))*$D$9</f>
        <v>12553.8</v>
      </c>
      <c r="D20" s="7" t="n">
        <f aca="false">($G$4-7.5+8.6+SUM($D$10:$D$15))*$D$9</f>
        <v>11818.8</v>
      </c>
      <c r="E20" s="5" t="n">
        <f aca="false">($G$4-11.4+8.5+SUM($D$10:$D$15))*$D$9</f>
        <v>11426.8</v>
      </c>
      <c r="F20" s="7" t="n">
        <f aca="false">($G$4-6.5+8.6+SUM($D$10:$D$15))*$D$9</f>
        <v>11916.8</v>
      </c>
      <c r="G20" s="7" t="n">
        <f aca="false">($G$4-9.7+8.6+SUM($D$10:$D$15))*$D$9</f>
        <v>11603.2</v>
      </c>
      <c r="H20" s="7" t="n">
        <f aca="false">($G$4-17.5+8.6+SUM($D$10:$D$15))*$D$9</f>
        <v>10838.8</v>
      </c>
      <c r="I20" s="7" t="n">
        <f aca="false">($G$4-5.1+8.6+SUM($D$10:$D$15))*$D$9</f>
        <v>12054</v>
      </c>
      <c r="J20" s="7" t="n">
        <f aca="false">($G$4-13.3+8.6+SUM($D$10:$D$15))*$D$9</f>
        <v>11250.4</v>
      </c>
      <c r="K20" s="7" t="n">
        <f aca="false">($G$4-26.5+8.6+SUM($D$10:$D$15))*$D$9</f>
        <v>9956.8</v>
      </c>
    </row>
    <row r="21" customFormat="false" ht="12.8" hidden="false" customHeight="false" outlineLevel="0" collapsed="false">
      <c r="A21" s="5" t="s">
        <v>38</v>
      </c>
      <c r="B21" s="5" t="n">
        <f aca="false">($G$4+15.7-2.8+SUM($D$10:$D$15))*$D$9</f>
        <v>12975.2</v>
      </c>
      <c r="C21" s="5" t="n">
        <f aca="false">($G$4+15.7+0+SUM($D$10:$D$15))*$D$9</f>
        <v>13249.6</v>
      </c>
      <c r="D21" s="7" t="n">
        <f aca="false">($G$4+15.7-7.5+SUM($D$10:$D$15))*$D$9</f>
        <v>12514.6</v>
      </c>
      <c r="E21" s="5" t="n">
        <f aca="false">($G$4+15.7-11.4+SUM($D$10:$D$15))*$D$9</f>
        <v>12132.4</v>
      </c>
      <c r="F21" s="7" t="n">
        <f aca="false">($G$4+15.7-6.5+SUM($D$10:$D$15))*$D$9</f>
        <v>12612.6</v>
      </c>
      <c r="G21" s="7" t="n">
        <f aca="false">($G$4+15.7-9.7+SUM($D$10:$D$15))*$D$9</f>
        <v>12299</v>
      </c>
      <c r="H21" s="7" t="n">
        <f aca="false">($G$4+15.7-17.5+SUM($D$10:$D$15))*$D$9</f>
        <v>11534.6</v>
      </c>
      <c r="I21" s="7" t="n">
        <f aca="false">($G$4+15.7-5.1+SUM($D$10:$D$15))*$D$9</f>
        <v>12749.8</v>
      </c>
      <c r="J21" s="7" t="n">
        <f aca="false">($G$4+15.7-13.3+SUM($D$10:$D$15))*$D$9</f>
        <v>11946.2</v>
      </c>
      <c r="K21" s="7" t="n">
        <f aca="false">($G$4+15.7-26.5+SUM($D$10:$D$15))*$D$9</f>
        <v>10652.6</v>
      </c>
    </row>
    <row r="22" customFormat="false" ht="12.8" hidden="false" customHeight="false" outlineLevel="0" collapsed="false">
      <c r="A22" s="5" t="s">
        <v>39</v>
      </c>
      <c r="B22" s="5" t="n">
        <f aca="false">($G$4+15.7-2.8+8.6+SUM($D$10:$D$15))*$D$9</f>
        <v>13818</v>
      </c>
      <c r="C22" s="5" t="n">
        <f aca="false">($G$4+15.7+0+8.6+SUM($D$10:$D$15))*$D$9</f>
        <v>14092.4</v>
      </c>
      <c r="D22" s="7" t="n">
        <f aca="false">($G$4+15.7-7.5+8.6+SUM($D$10:$D$15))*$D$9</f>
        <v>13357.4</v>
      </c>
      <c r="E22" s="5" t="n">
        <f aca="false">($G$4+15.7-11.4+8.6+SUM($D$10:$D$15))*$D$9</f>
        <v>12975.2</v>
      </c>
      <c r="F22" s="7" t="n">
        <f aca="false">($G$4+15.7-6.5+8.6+SUM($D$10:$D$15))*$D$9</f>
        <v>13455.4</v>
      </c>
      <c r="G22" s="7" t="n">
        <f aca="false">($G$4+15.7-9.7+8.6+SUM($D$10:$D$15))*$D$9</f>
        <v>13141.8</v>
      </c>
      <c r="H22" s="7" t="n">
        <f aca="false">($G$4+15.7-17.5+8.6+SUM($D$10:$D$15))*$D$9</f>
        <v>12377.4</v>
      </c>
      <c r="I22" s="7" t="n">
        <f aca="false">($G$4+15.7-5.1+8.6+SUM($D$10:$D$15))*$D$9</f>
        <v>13592.6</v>
      </c>
      <c r="J22" s="7" t="n">
        <f aca="false">($G$4+15.7-13.3+8.6+SUM($D$10:$D$15))*$D$9</f>
        <v>12789</v>
      </c>
      <c r="K22" s="7" t="n">
        <f aca="false">($G$4+15.7-26.5+8.6+SUM($D$10:$D$15))*$D$9</f>
        <v>11495.4</v>
      </c>
    </row>
    <row r="23" customFormat="false" ht="12.8" hidden="false" customHeight="false" outlineLevel="0" collapsed="false">
      <c r="A23" s="5" t="s">
        <v>40</v>
      </c>
      <c r="B23" s="5" t="n">
        <f aca="false">($G$4+26-2.8+SUM($D$10:$D$15))*$D$9</f>
        <v>13984.6</v>
      </c>
      <c r="C23" s="5" t="n">
        <f aca="false">($G$4+26+ 0+SUM($D$10:$D$15))*$D$9</f>
        <v>14259</v>
      </c>
      <c r="D23" s="7" t="n">
        <f aca="false">($G$4+26-7.5+SUM($D$10:$D$15))*$D$9</f>
        <v>13524</v>
      </c>
      <c r="E23" s="5" t="n">
        <f aca="false">($G$4+26-11.4+SUM($D$10:$D$15))*$D$9</f>
        <v>13141.8</v>
      </c>
      <c r="F23" s="7" t="n">
        <f aca="false">($G$4+26-6.5+SUM($D$10:$D$15))*$D$9</f>
        <v>13622</v>
      </c>
      <c r="G23" s="7" t="n">
        <f aca="false">($G$4+26-9.7+SUM($D$10:$D$15))*$D$9</f>
        <v>13308.4</v>
      </c>
      <c r="H23" s="7" t="n">
        <f aca="false">($G$4+26-17.5+SUM($D$10:$D$15))*$D$9</f>
        <v>12544</v>
      </c>
      <c r="I23" s="7" t="n">
        <f aca="false">($G$4+26-5.1+SUM($D$10:$D$15))*$D$9</f>
        <v>13759.2</v>
      </c>
      <c r="J23" s="7" t="n">
        <f aca="false">($G$4+26-13.3+SUM($D$10:$D$15))*$D$9</f>
        <v>12955.6</v>
      </c>
      <c r="K23" s="7" t="n">
        <f aca="false">($G$4+26-26.5+SUM($D$10:$D$15))*$D$9</f>
        <v>11662</v>
      </c>
    </row>
    <row r="24" customFormat="false" ht="12.8" hidden="false" customHeight="false" outlineLevel="0" collapsed="false">
      <c r="A24" s="5" t="s">
        <v>41</v>
      </c>
      <c r="B24" s="5" t="n">
        <f aca="false">($G$4+26-2.8+8.6+SUM($D$10:$D$15))*$D$9</f>
        <v>14827.4</v>
      </c>
      <c r="C24" s="5" t="n">
        <f aca="false">($G$4+26+0+8.6+SUM($D$10:$D$15))*$D$9</f>
        <v>15101.8</v>
      </c>
      <c r="D24" s="7" t="n">
        <f aca="false">($G$4+26-7.5+8.6+SUM($D$10:$D$15))*$D$9</f>
        <v>14366.8</v>
      </c>
      <c r="E24" s="5" t="n">
        <f aca="false">($G$4+26-11.4+8.6+SUM($D$10:$D$15))*$D$9</f>
        <v>13984.6</v>
      </c>
      <c r="F24" s="7" t="n">
        <f aca="false">($G$4+26-6.5+8.6+SUM($D$10:$D$15))*$D$9</f>
        <v>14464.8</v>
      </c>
      <c r="G24" s="7" t="n">
        <f aca="false">($G$4+26-9.7+8.6+SUM($D$10:$D$15))*$D$9</f>
        <v>14151.2</v>
      </c>
      <c r="H24" s="7" t="n">
        <f aca="false">($G$4+26-17.5+8.6+SUM($D$10:$D$15))*$D$9</f>
        <v>13386.8</v>
      </c>
      <c r="I24" s="7" t="n">
        <f aca="false">($G$4+26-5.1+8.6+SUM($D$10:$D$15))*$D$9</f>
        <v>14602</v>
      </c>
      <c r="J24" s="7" t="n">
        <f aca="false">($G$4+26-13.3+8.6+SUM($D$10:$D$15))*$D$9</f>
        <v>13798.4</v>
      </c>
      <c r="K24" s="7" t="n">
        <f aca="false">($G$4+26-26.5+8.6+SUM($D$10:$D$15))*$D$9</f>
        <v>12504.8</v>
      </c>
    </row>
    <row r="27" customFormat="false" ht="12.8" hidden="false" customHeight="false" outlineLevel="0" collapsed="false">
      <c r="A27" s="8" t="s">
        <v>42</v>
      </c>
      <c r="B27" s="9" t="s">
        <v>26</v>
      </c>
      <c r="C27" s="9" t="s">
        <v>27</v>
      </c>
      <c r="D27" s="10" t="s">
        <v>28</v>
      </c>
      <c r="E27" s="9" t="s">
        <v>29</v>
      </c>
      <c r="F27" s="10" t="s">
        <v>30</v>
      </c>
      <c r="G27" s="10" t="s">
        <v>31</v>
      </c>
      <c r="H27" s="10" t="s">
        <v>32</v>
      </c>
      <c r="I27" s="10" t="s">
        <v>33</v>
      </c>
      <c r="J27" s="9" t="s">
        <v>34</v>
      </c>
      <c r="K27" s="11" t="s">
        <v>35</v>
      </c>
      <c r="P27" s="4"/>
    </row>
    <row r="28" customFormat="false" ht="12.8" hidden="false" customHeight="false" outlineLevel="0" collapsed="false">
      <c r="A28" s="12" t="s">
        <v>36</v>
      </c>
      <c r="B28" s="0" t="n">
        <f aca="false">ROUND((B19/$C$6),3)</f>
        <v>0.953</v>
      </c>
      <c r="C28" s="0" t="n">
        <f aca="false">ROUND((C19/$C$6),3)</f>
        <v>0.976</v>
      </c>
      <c r="D28" s="0" t="n">
        <f aca="false">ROUND((D19/$C$6),3)</f>
        <v>0.915</v>
      </c>
      <c r="E28" s="0" t="n">
        <f aca="false">ROUND((E19/$C$6),3)</f>
        <v>0.883</v>
      </c>
      <c r="F28" s="0" t="n">
        <f aca="false">ROUND((F19/$C$6),3)</f>
        <v>0.923</v>
      </c>
      <c r="G28" s="0" t="n">
        <f aca="false">ROUND((G19/$C$6),3)</f>
        <v>0.897</v>
      </c>
      <c r="H28" s="0" t="n">
        <f aca="false">ROUND((H19/$C$6),3)</f>
        <v>0.833</v>
      </c>
      <c r="I28" s="0" t="n">
        <f aca="false">ROUND((I19/$C$6),3)</f>
        <v>0.934</v>
      </c>
      <c r="J28" s="0" t="n">
        <f aca="false">ROUND((J19/$C$6),3)</f>
        <v>0.867</v>
      </c>
      <c r="K28" s="0" t="n">
        <f aca="false">ROUND((K19/$C$6),3)</f>
        <v>0.76</v>
      </c>
    </row>
    <row r="29" customFormat="false" ht="12.8" hidden="false" customHeight="false" outlineLevel="0" collapsed="false">
      <c r="A29" s="12" t="s">
        <v>37</v>
      </c>
      <c r="B29" s="0" t="n">
        <f aca="false">ROUND((B20/$C$6),3)</f>
        <v>1.023</v>
      </c>
      <c r="C29" s="0" t="n">
        <f aca="false">ROUND((C20/$C$6),3)</f>
        <v>1.046</v>
      </c>
      <c r="D29" s="0" t="n">
        <f aca="false">ROUND((D20/$C$6),3)</f>
        <v>0.985</v>
      </c>
      <c r="E29" s="0" t="n">
        <f aca="false">ROUND((E20/$C$6),3)</f>
        <v>0.952</v>
      </c>
      <c r="F29" s="0" t="n">
        <f aca="false">ROUND((F20/$C$6),3)</f>
        <v>0.993</v>
      </c>
      <c r="G29" s="0" t="n">
        <f aca="false">ROUND((G20/$C$6),3)</f>
        <v>0.967</v>
      </c>
      <c r="H29" s="0" t="n">
        <f aca="false">ROUND((H20/$C$6),3)</f>
        <v>0.903</v>
      </c>
      <c r="I29" s="0" t="n">
        <f aca="false">ROUND((I20/$C$6),3)</f>
        <v>1.005</v>
      </c>
      <c r="J29" s="0" t="n">
        <f aca="false">ROUND((J20/$C$6),3)</f>
        <v>0.938</v>
      </c>
      <c r="K29" s="0" t="n">
        <f aca="false">ROUND((K20/$C$6),3)</f>
        <v>0.83</v>
      </c>
    </row>
    <row r="30" customFormat="false" ht="12.8" hidden="false" customHeight="false" outlineLevel="0" collapsed="false">
      <c r="A30" s="12" t="s">
        <v>38</v>
      </c>
      <c r="B30" s="0" t="n">
        <f aca="false">ROUND((B21/$C$6),3)</f>
        <v>1.081</v>
      </c>
      <c r="C30" s="0" t="n">
        <f aca="false">ROUND((C21/$C$6),3)</f>
        <v>1.104</v>
      </c>
      <c r="D30" s="0" t="n">
        <f aca="false">ROUND((D21/$C$6),3)</f>
        <v>1.043</v>
      </c>
      <c r="E30" s="0" t="n">
        <f aca="false">ROUND((E21/$C$6),3)</f>
        <v>1.011</v>
      </c>
      <c r="F30" s="0" t="n">
        <f aca="false">ROUND((F21/$C$6),3)</f>
        <v>1.051</v>
      </c>
      <c r="G30" s="0" t="n">
        <f aca="false">ROUND((G21/$C$6),3)</f>
        <v>1.025</v>
      </c>
      <c r="H30" s="0" t="n">
        <f aca="false">ROUND((H21/$C$6),3)</f>
        <v>0.961</v>
      </c>
      <c r="I30" s="0" t="n">
        <f aca="false">ROUND((I21/$C$6),3)</f>
        <v>1.062</v>
      </c>
      <c r="J30" s="0" t="n">
        <f aca="false">ROUND((J21/$C$6),3)</f>
        <v>0.996</v>
      </c>
      <c r="K30" s="0" t="n">
        <f aca="false">ROUND((K21/$C$6),3)</f>
        <v>0.888</v>
      </c>
    </row>
    <row r="31" customFormat="false" ht="12.8" hidden="false" customHeight="false" outlineLevel="0" collapsed="false">
      <c r="A31" s="12" t="s">
        <v>39</v>
      </c>
      <c r="B31" s="0" t="n">
        <f aca="false">ROUND((B22/$C$6),3)</f>
        <v>1.152</v>
      </c>
      <c r="C31" s="0" t="n">
        <f aca="false">ROUND((C22/$C$6),3)</f>
        <v>1.174</v>
      </c>
      <c r="D31" s="0" t="n">
        <f aca="false">ROUND((D22/$C$6),3)</f>
        <v>1.113</v>
      </c>
      <c r="E31" s="0" t="n">
        <f aca="false">ROUND((E22/$C$6),3)</f>
        <v>1.081</v>
      </c>
      <c r="F31" s="0" t="n">
        <f aca="false">ROUND((F22/$C$6),3)</f>
        <v>1.121</v>
      </c>
      <c r="G31" s="0" t="n">
        <f aca="false">ROUND((G22/$C$6),3)</f>
        <v>1.095</v>
      </c>
      <c r="H31" s="0" t="n">
        <f aca="false">ROUND((H22/$C$6),3)</f>
        <v>1.031</v>
      </c>
      <c r="I31" s="0" t="n">
        <f aca="false">ROUND((I22/$C$6),3)</f>
        <v>1.133</v>
      </c>
      <c r="J31" s="0" t="n">
        <f aca="false">ROUND((J22/$C$6),3)</f>
        <v>1.066</v>
      </c>
      <c r="K31" s="0" t="n">
        <f aca="false">ROUND((K22/$C$6),3)</f>
        <v>0.958</v>
      </c>
    </row>
    <row r="32" customFormat="false" ht="12.8" hidden="false" customHeight="false" outlineLevel="0" collapsed="false">
      <c r="A32" s="12" t="s">
        <v>40</v>
      </c>
      <c r="B32" s="0" t="n">
        <f aca="false">ROUND((B23/$C$6),3)</f>
        <v>1.165</v>
      </c>
      <c r="C32" s="0" t="n">
        <f aca="false">ROUND((C23/$C$6),3)</f>
        <v>1.188</v>
      </c>
      <c r="D32" s="0" t="n">
        <f aca="false">ROUND((D23/$C$6),3)</f>
        <v>1.127</v>
      </c>
      <c r="E32" s="0" t="n">
        <f aca="false">ROUND((E23/$C$6),3)</f>
        <v>1.095</v>
      </c>
      <c r="F32" s="0" t="n">
        <f aca="false">ROUND((F23/$C$6),3)</f>
        <v>1.135</v>
      </c>
      <c r="G32" s="0" t="n">
        <f aca="false">ROUND((G23/$C$6),3)</f>
        <v>1.109</v>
      </c>
      <c r="H32" s="0" t="n">
        <f aca="false">ROUND((H23/$C$6),3)</f>
        <v>1.045</v>
      </c>
      <c r="I32" s="0" t="n">
        <f aca="false">ROUND((I23/$C$6),3)</f>
        <v>1.147</v>
      </c>
      <c r="J32" s="0" t="n">
        <f aca="false">ROUND((J23/$C$6),3)</f>
        <v>1.08</v>
      </c>
      <c r="K32" s="0" t="n">
        <f aca="false">ROUND((K23/$C$6),3)</f>
        <v>0.972</v>
      </c>
    </row>
    <row r="33" customFormat="false" ht="12.8" hidden="false" customHeight="false" outlineLevel="0" collapsed="false">
      <c r="A33" s="13" t="s">
        <v>41</v>
      </c>
      <c r="B33" s="0" t="n">
        <f aca="false">ROUND((B24/$C$6),3)</f>
        <v>1.236</v>
      </c>
      <c r="C33" s="0" t="n">
        <f aca="false">ROUND((C24/$C$6),3)</f>
        <v>1.258</v>
      </c>
      <c r="D33" s="0" t="n">
        <f aca="false">ROUND((D24/$C$6),3)</f>
        <v>1.197</v>
      </c>
      <c r="E33" s="0" t="n">
        <f aca="false">ROUND((E24/$C$6),3)</f>
        <v>1.165</v>
      </c>
      <c r="F33" s="0" t="n">
        <f aca="false">ROUND((F24/$C$6),3)</f>
        <v>1.205</v>
      </c>
      <c r="G33" s="0" t="n">
        <f aca="false">ROUND((G24/$C$6),3)</f>
        <v>1.179</v>
      </c>
      <c r="H33" s="0" t="n">
        <f aca="false">ROUND((H24/$C$6),3)</f>
        <v>1.116</v>
      </c>
      <c r="I33" s="0" t="n">
        <f aca="false">ROUND((I24/$C$6),3)</f>
        <v>1.217</v>
      </c>
      <c r="J33" s="0" t="n">
        <f aca="false">ROUND((J24/$C$6),3)</f>
        <v>1.15</v>
      </c>
      <c r="K33" s="0" t="n">
        <f aca="false">ROUND((K24/$C$6),3)</f>
        <v>1.042</v>
      </c>
    </row>
    <row r="36" customFormat="false" ht="12.8" hidden="false" customHeight="false" outlineLevel="0" collapsed="false">
      <c r="A36" s="8" t="s">
        <v>43</v>
      </c>
      <c r="B36" s="9" t="s">
        <v>26</v>
      </c>
      <c r="C36" s="9" t="s">
        <v>27</v>
      </c>
      <c r="D36" s="10" t="s">
        <v>28</v>
      </c>
      <c r="E36" s="9" t="s">
        <v>29</v>
      </c>
      <c r="F36" s="10" t="s">
        <v>30</v>
      </c>
      <c r="G36" s="10" t="s">
        <v>31</v>
      </c>
      <c r="H36" s="10" t="s">
        <v>32</v>
      </c>
      <c r="I36" s="10" t="s">
        <v>33</v>
      </c>
      <c r="J36" s="9" t="s">
        <v>34</v>
      </c>
      <c r="K36" s="11" t="s">
        <v>35</v>
      </c>
    </row>
    <row r="37" customFormat="false" ht="12.8" hidden="false" customHeight="false" outlineLevel="0" collapsed="false">
      <c r="A37" s="12" t="s">
        <v>36</v>
      </c>
      <c r="B37" s="0" t="n">
        <f aca="false">ROUND((1/1.42),3)</f>
        <v>0.704</v>
      </c>
      <c r="C37" s="0" t="n">
        <f aca="false">ROUND((1/1.42),3)</f>
        <v>0.704</v>
      </c>
      <c r="D37" s="0" t="n">
        <f aca="false">ROUND((1/1.42),3)</f>
        <v>0.704</v>
      </c>
      <c r="E37" s="0" t="n">
        <f aca="false">ROUND((1/1.42),3)</f>
        <v>0.704</v>
      </c>
      <c r="F37" s="0" t="n">
        <f aca="false">ROUND((1/1.42),3)</f>
        <v>0.704</v>
      </c>
      <c r="G37" s="0" t="n">
        <f aca="false">ROUND((1/1.42),3)</f>
        <v>0.704</v>
      </c>
      <c r="H37" s="0" t="n">
        <f aca="false">ROUND((1/1.42),3)</f>
        <v>0.704</v>
      </c>
      <c r="I37" s="0" t="n">
        <f aca="false">ROUND((1/1.42),3)</f>
        <v>0.704</v>
      </c>
      <c r="J37" s="0" t="n">
        <f aca="false">ROUND((1/1.42),3)</f>
        <v>0.704</v>
      </c>
      <c r="K37" s="14" t="n">
        <f aca="false">ROUND((1/1.42),3)</f>
        <v>0.704</v>
      </c>
    </row>
    <row r="38" customFormat="false" ht="12.8" hidden="false" customHeight="false" outlineLevel="0" collapsed="false">
      <c r="A38" s="12" t="s">
        <v>37</v>
      </c>
      <c r="B38" s="0" t="n">
        <v>1</v>
      </c>
      <c r="C38" s="0" t="n">
        <v>1</v>
      </c>
      <c r="D38" s="0" t="n">
        <v>1</v>
      </c>
      <c r="E38" s="0" t="n">
        <v>1</v>
      </c>
      <c r="F38" s="0" t="n">
        <v>1</v>
      </c>
      <c r="G38" s="0" t="n">
        <v>1</v>
      </c>
      <c r="H38" s="0" t="n">
        <v>1</v>
      </c>
      <c r="I38" s="0" t="n">
        <v>1</v>
      </c>
      <c r="J38" s="0" t="n">
        <v>1</v>
      </c>
      <c r="K38" s="14" t="n">
        <v>1</v>
      </c>
    </row>
    <row r="39" customFormat="false" ht="12.8" hidden="false" customHeight="false" outlineLevel="0" collapsed="false">
      <c r="A39" s="12" t="s">
        <v>38</v>
      </c>
      <c r="B39" s="0" t="n">
        <f aca="false">ROUND((1/1.42),3)</f>
        <v>0.704</v>
      </c>
      <c r="C39" s="0" t="n">
        <f aca="false">ROUND((1/1.42),3)</f>
        <v>0.704</v>
      </c>
      <c r="D39" s="0" t="n">
        <f aca="false">ROUND((1/1.42),3)</f>
        <v>0.704</v>
      </c>
      <c r="E39" s="0" t="n">
        <f aca="false">ROUND((1/1.42),3)</f>
        <v>0.704</v>
      </c>
      <c r="F39" s="0" t="n">
        <f aca="false">ROUND((1/1.42),3)</f>
        <v>0.704</v>
      </c>
      <c r="G39" s="0" t="n">
        <f aca="false">ROUND((1/1.42),3)</f>
        <v>0.704</v>
      </c>
      <c r="H39" s="0" t="n">
        <f aca="false">ROUND((1/1.42),3)</f>
        <v>0.704</v>
      </c>
      <c r="I39" s="0" t="n">
        <f aca="false">ROUND((1/1.42),3)</f>
        <v>0.704</v>
      </c>
      <c r="J39" s="0" t="n">
        <f aca="false">ROUND((1/1.42),3)</f>
        <v>0.704</v>
      </c>
      <c r="K39" s="14" t="n">
        <f aca="false">ROUND((1/1.42),3)</f>
        <v>0.704</v>
      </c>
    </row>
    <row r="40" customFormat="false" ht="12.8" hidden="false" customHeight="false" outlineLevel="0" collapsed="false">
      <c r="A40" s="12" t="s">
        <v>39</v>
      </c>
      <c r="B40" s="0" t="n">
        <v>1</v>
      </c>
      <c r="C40" s="0" t="n">
        <v>1</v>
      </c>
      <c r="D40" s="0" t="n">
        <v>1</v>
      </c>
      <c r="E40" s="0" t="n">
        <v>1</v>
      </c>
      <c r="F40" s="0" t="n">
        <v>1</v>
      </c>
      <c r="G40" s="0" t="n">
        <v>1</v>
      </c>
      <c r="H40" s="0" t="n">
        <v>1</v>
      </c>
      <c r="I40" s="0" t="n">
        <v>1</v>
      </c>
      <c r="J40" s="0" t="n">
        <v>1</v>
      </c>
      <c r="K40" s="14" t="n">
        <v>1</v>
      </c>
    </row>
    <row r="41" customFormat="false" ht="12.8" hidden="false" customHeight="false" outlineLevel="0" collapsed="false">
      <c r="A41" s="12" t="s">
        <v>40</v>
      </c>
      <c r="B41" s="0" t="n">
        <f aca="false">ROUND((1/1.42),3)</f>
        <v>0.704</v>
      </c>
      <c r="C41" s="0" t="n">
        <f aca="false">ROUND((1/1.42),3)</f>
        <v>0.704</v>
      </c>
      <c r="D41" s="0" t="n">
        <f aca="false">ROUND((1/1.42),3)</f>
        <v>0.704</v>
      </c>
      <c r="E41" s="0" t="n">
        <f aca="false">ROUND((1/1.42),3)</f>
        <v>0.704</v>
      </c>
      <c r="F41" s="0" t="n">
        <f aca="false">ROUND((1/1.42),3)</f>
        <v>0.704</v>
      </c>
      <c r="G41" s="0" t="n">
        <f aca="false">ROUND((1/1.42),3)</f>
        <v>0.704</v>
      </c>
      <c r="H41" s="0" t="n">
        <f aca="false">ROUND((1/1.42),3)</f>
        <v>0.704</v>
      </c>
      <c r="I41" s="0" t="n">
        <f aca="false">ROUND((1/1.42),3)</f>
        <v>0.704</v>
      </c>
      <c r="J41" s="0" t="n">
        <f aca="false">ROUND((1/1.42),3)</f>
        <v>0.704</v>
      </c>
      <c r="K41" s="14" t="n">
        <f aca="false">ROUND((1/1.42),3)</f>
        <v>0.704</v>
      </c>
    </row>
    <row r="42" customFormat="false" ht="12.8" hidden="false" customHeight="false" outlineLevel="0" collapsed="false">
      <c r="A42" s="13" t="s">
        <v>41</v>
      </c>
      <c r="B42" s="15" t="n">
        <v>1</v>
      </c>
      <c r="C42" s="15" t="n">
        <v>1</v>
      </c>
      <c r="D42" s="15" t="n">
        <v>1</v>
      </c>
      <c r="E42" s="15" t="n">
        <v>1</v>
      </c>
      <c r="F42" s="15" t="n">
        <v>1</v>
      </c>
      <c r="G42" s="15" t="n">
        <v>1</v>
      </c>
      <c r="H42" s="15" t="n">
        <v>1</v>
      </c>
      <c r="I42" s="15" t="n">
        <v>1</v>
      </c>
      <c r="J42" s="15" t="n">
        <v>1</v>
      </c>
      <c r="K42" s="16" t="n">
        <v>1</v>
      </c>
    </row>
    <row r="46" customFormat="false" ht="12.8" hidden="false" customHeight="false" outlineLevel="0" collapsed="false">
      <c r="A46" s="17" t="s">
        <v>44</v>
      </c>
      <c r="B46" s="17" t="s">
        <v>26</v>
      </c>
      <c r="C46" s="17" t="s">
        <v>27</v>
      </c>
      <c r="D46" s="18" t="s">
        <v>28</v>
      </c>
      <c r="E46" s="17" t="s">
        <v>29</v>
      </c>
      <c r="F46" s="18" t="s">
        <v>30</v>
      </c>
      <c r="G46" s="18" t="s">
        <v>31</v>
      </c>
      <c r="H46" s="18" t="s">
        <v>32</v>
      </c>
      <c r="I46" s="18" t="s">
        <v>33</v>
      </c>
      <c r="J46" s="17" t="s">
        <v>34</v>
      </c>
      <c r="K46" s="17" t="s">
        <v>35</v>
      </c>
    </row>
    <row r="47" customFormat="false" ht="12.8" hidden="false" customHeight="false" outlineLevel="0" collapsed="false">
      <c r="A47" s="17" t="s">
        <v>36</v>
      </c>
      <c r="B47" s="17" t="n">
        <f aca="false">ROUND(((B28*($C$2*($C$6/$G$2)))+(B37*$C$3*($C$7/$G$3))),2)</f>
        <v>869.32</v>
      </c>
      <c r="C47" s="17" t="n">
        <f aca="false">ROUND(((C28*($C$2*($C$6/$G$2)))+(C37*$C$3*($C$7/$G$3))),2)</f>
        <v>880.62</v>
      </c>
      <c r="D47" s="17" t="n">
        <f aca="false">ROUND(((D28*($C$2*($C$6/$G$2)))+(D37*$C$3*($C$7/$G$3))),2)</f>
        <v>850.64</v>
      </c>
      <c r="E47" s="17" t="n">
        <f aca="false">ROUND(((E28*($C$2*($C$6/$G$2)))+(E37*$C$3*($C$7/$G$3))),2)</f>
        <v>834.92</v>
      </c>
      <c r="F47" s="17" t="n">
        <f aca="false">ROUND(((F28*($C$2*($C$6/$G$2)))+(F37*$C$3*($C$7/$G$3))),2)</f>
        <v>854.57</v>
      </c>
      <c r="G47" s="17" t="n">
        <f aca="false">ROUND(((G28*($C$2*($C$6/$G$2)))+(G37*$C$3*($C$7/$G$3))),2)</f>
        <v>841.8</v>
      </c>
      <c r="H47" s="17" t="n">
        <f aca="false">ROUND(((H28*($C$2*($C$6/$G$2)))+(H37*$C$3*($C$7/$G$3))),2)</f>
        <v>810.34</v>
      </c>
      <c r="I47" s="17" t="n">
        <f aca="false">ROUND(((I28*($C$2*($C$6/$G$2)))+(I37*$C$3*($C$7/$G$3))),2)</f>
        <v>859.98</v>
      </c>
      <c r="J47" s="17" t="n">
        <f aca="false">ROUND(((J28*($C$2*($C$6/$G$2)))+(J37*$C$3*($C$7/$G$3))),2)</f>
        <v>827.05</v>
      </c>
      <c r="K47" s="17" t="n">
        <f aca="false">ROUND(((K28*($C$2*($C$6/$G$2)))+(K37*$C$3*($C$7/$G$3))),2)</f>
        <v>774.47</v>
      </c>
    </row>
    <row r="48" customFormat="false" ht="12.8" hidden="false" customHeight="false" outlineLevel="0" collapsed="false">
      <c r="A48" s="17" t="s">
        <v>37</v>
      </c>
      <c r="B48" s="17" t="n">
        <f aca="false">ROUND(((B29*($C$2*($C$6/$G$2)))+(B38*$C$3*($C$7/$G$3))),2)</f>
        <v>1072.3</v>
      </c>
      <c r="C48" s="17" t="n">
        <f aca="false">ROUND(((C29*($C$2*($C$6/$G$2)))+(C38*$C$3*($C$7/$G$3))),2)</f>
        <v>1083.61</v>
      </c>
      <c r="D48" s="17" t="n">
        <f aca="false">ROUND(((D29*($C$2*($C$6/$G$2)))+(D38*$C$3*($C$7/$G$3))),2)</f>
        <v>1053.63</v>
      </c>
      <c r="E48" s="17" t="n">
        <f aca="false">ROUND(((E29*($C$2*($C$6/$G$2)))+(E38*$C$3*($C$7/$G$3))),2)</f>
        <v>1037.41</v>
      </c>
      <c r="F48" s="17" t="n">
        <f aca="false">ROUND(((F29*($C$2*($C$6/$G$2)))+(F38*$C$3*($C$7/$G$3))),2)</f>
        <v>1057.56</v>
      </c>
      <c r="G48" s="17" t="n">
        <f aca="false">ROUND(((G29*($C$2*($C$6/$G$2)))+(G38*$C$3*($C$7/$G$3))),2)</f>
        <v>1044.78</v>
      </c>
      <c r="H48" s="17" t="n">
        <f aca="false">ROUND(((H29*($C$2*($C$6/$G$2)))+(H38*$C$3*($C$7/$G$3))),2)</f>
        <v>1013.33</v>
      </c>
      <c r="I48" s="17" t="n">
        <f aca="false">ROUND(((I29*($C$2*($C$6/$G$2)))+(I38*$C$3*($C$7/$G$3))),2)</f>
        <v>1063.46</v>
      </c>
      <c r="J48" s="17" t="n">
        <f aca="false">ROUND(((J29*($C$2*($C$6/$G$2)))+(J38*$C$3*($C$7/$G$3))),2)</f>
        <v>1030.53</v>
      </c>
      <c r="K48" s="17" t="n">
        <f aca="false">ROUND(((K29*($C$2*($C$6/$G$2)))+(K38*$C$3*($C$7/$G$3))),2)</f>
        <v>977.45</v>
      </c>
    </row>
    <row r="49" customFormat="false" ht="12.8" hidden="false" customHeight="false" outlineLevel="0" collapsed="false">
      <c r="A49" s="17" t="s">
        <v>38</v>
      </c>
      <c r="B49" s="17" t="n">
        <f aca="false">ROUND(((B30*($C$2*($C$6/$G$2)))+(B39*$C$3*($C$7/$G$3))),2)</f>
        <v>932.23</v>
      </c>
      <c r="C49" s="17" t="n">
        <f aca="false">ROUND(((C30*($C$2*($C$6/$G$2)))+(C39*$C$3*($C$7/$G$3))),2)</f>
        <v>943.53</v>
      </c>
      <c r="D49" s="17" t="n">
        <f aca="false">ROUND(((D30*($C$2*($C$6/$G$2)))+(D39*$C$3*($C$7/$G$3))),2)</f>
        <v>913.55</v>
      </c>
      <c r="E49" s="17" t="n">
        <f aca="false">ROUND(((E30*($C$2*($C$6/$G$2)))+(E39*$C$3*($C$7/$G$3))),2)</f>
        <v>897.82</v>
      </c>
      <c r="F49" s="17" t="n">
        <f aca="false">ROUND(((F30*($C$2*($C$6/$G$2)))+(F39*$C$3*($C$7/$G$3))),2)</f>
        <v>917.48</v>
      </c>
      <c r="G49" s="17" t="n">
        <f aca="false">ROUND(((G30*($C$2*($C$6/$G$2)))+(G39*$C$3*($C$7/$G$3))),2)</f>
        <v>904.7</v>
      </c>
      <c r="H49" s="17" t="n">
        <f aca="false">ROUND(((H30*($C$2*($C$6/$G$2)))+(H39*$C$3*($C$7/$G$3))),2)</f>
        <v>873.25</v>
      </c>
      <c r="I49" s="17" t="n">
        <f aca="false">ROUND(((I30*($C$2*($C$6/$G$2)))+(I39*$C$3*($C$7/$G$3))),2)</f>
        <v>922.89</v>
      </c>
      <c r="J49" s="17" t="n">
        <f aca="false">ROUND(((J30*($C$2*($C$6/$G$2)))+(J39*$C$3*($C$7/$G$3))),2)</f>
        <v>890.45</v>
      </c>
      <c r="K49" s="17" t="n">
        <f aca="false">ROUND(((K30*($C$2*($C$6/$G$2)))+(K39*$C$3*($C$7/$G$3))),2)</f>
        <v>837.37</v>
      </c>
    </row>
    <row r="50" customFormat="false" ht="12.8" hidden="false" customHeight="false" outlineLevel="0" collapsed="false">
      <c r="A50" s="17" t="s">
        <v>39</v>
      </c>
      <c r="B50" s="17" t="n">
        <f aca="false">ROUND(((B31*($C$2*($C$6/$G$2)))+(B40*$C$3*($C$7/$G$3))),2)</f>
        <v>1135.7</v>
      </c>
      <c r="C50" s="17" t="n">
        <f aca="false">ROUND(((C31*($C$2*($C$6/$G$2)))+(C40*$C$3*($C$7/$G$3))),2)</f>
        <v>1146.51</v>
      </c>
      <c r="D50" s="17" t="n">
        <f aca="false">ROUND(((D31*($C$2*($C$6/$G$2)))+(D40*$C$3*($C$7/$G$3))),2)</f>
        <v>1116.53</v>
      </c>
      <c r="E50" s="17" t="n">
        <f aca="false">ROUND(((E31*($C$2*($C$6/$G$2)))+(E40*$C$3*($C$7/$G$3))),2)</f>
        <v>1100.81</v>
      </c>
      <c r="F50" s="17" t="n">
        <f aca="false">ROUND(((F31*($C$2*($C$6/$G$2)))+(F40*$C$3*($C$7/$G$3))),2)</f>
        <v>1120.47</v>
      </c>
      <c r="G50" s="17" t="n">
        <f aca="false">ROUND(((G31*($C$2*($C$6/$G$2)))+(G40*$C$3*($C$7/$G$3))),2)</f>
        <v>1107.69</v>
      </c>
      <c r="H50" s="17" t="n">
        <f aca="false">ROUND(((H31*($C$2*($C$6/$G$2)))+(H40*$C$3*($C$7/$G$3))),2)</f>
        <v>1076.23</v>
      </c>
      <c r="I50" s="17" t="n">
        <f aca="false">ROUND(((I31*($C$2*($C$6/$G$2)))+(I40*$C$3*($C$7/$G$3))),2)</f>
        <v>1126.36</v>
      </c>
      <c r="J50" s="17" t="n">
        <f aca="false">ROUND(((J31*($C$2*($C$6/$G$2)))+(J40*$C$3*($C$7/$G$3))),2)</f>
        <v>1093.44</v>
      </c>
      <c r="K50" s="17" t="n">
        <f aca="false">ROUND(((K31*($C$2*($C$6/$G$2)))+(K40*$C$3*($C$7/$G$3))),2)</f>
        <v>1040.36</v>
      </c>
    </row>
    <row r="51" customFormat="false" ht="12.8" hidden="false" customHeight="false" outlineLevel="0" collapsed="false">
      <c r="A51" s="17" t="s">
        <v>40</v>
      </c>
      <c r="B51" s="17" t="n">
        <f aca="false">ROUND(((B32*($C$2*($C$6/$G$2)))+(B41*$C$3*($C$7/$G$3))),2)</f>
        <v>973.51</v>
      </c>
      <c r="C51" s="17" t="n">
        <f aca="false">ROUND(((C32*($C$2*($C$6/$G$2)))+(C41*$C$3*($C$7/$G$3))),2)</f>
        <v>984.81</v>
      </c>
      <c r="D51" s="17" t="n">
        <f aca="false">ROUND(((D32*($C$2*($C$6/$G$2)))+(D41*$C$3*($C$7/$G$3))),2)</f>
        <v>954.83</v>
      </c>
      <c r="E51" s="17" t="n">
        <f aca="false">ROUND(((E32*($C$2*($C$6/$G$2)))+(E41*$C$3*($C$7/$G$3))),2)</f>
        <v>939.11</v>
      </c>
      <c r="F51" s="17" t="n">
        <f aca="false">ROUND(((F32*($C$2*($C$6/$G$2)))+(F41*$C$3*($C$7/$G$3))),2)</f>
        <v>958.77</v>
      </c>
      <c r="G51" s="17" t="n">
        <f aca="false">ROUND(((G32*($C$2*($C$6/$G$2)))+(G41*$C$3*($C$7/$G$3))),2)</f>
        <v>945.99</v>
      </c>
      <c r="H51" s="17" t="n">
        <f aca="false">ROUND(((H32*($C$2*($C$6/$G$2)))+(H41*$C$3*($C$7/$G$3))),2)</f>
        <v>914.53</v>
      </c>
      <c r="I51" s="17" t="n">
        <f aca="false">ROUND(((I32*($C$2*($C$6/$G$2)))+(I41*$C$3*($C$7/$G$3))),2)</f>
        <v>964.66</v>
      </c>
      <c r="J51" s="17" t="n">
        <f aca="false">ROUND(((J32*($C$2*($C$6/$G$2)))+(J41*$C$3*($C$7/$G$3))),2)</f>
        <v>931.74</v>
      </c>
      <c r="K51" s="17" t="n">
        <f aca="false">ROUND(((K32*($C$2*($C$6/$G$2)))+(K41*$C$3*($C$7/$G$3))),2)</f>
        <v>878.66</v>
      </c>
    </row>
    <row r="52" customFormat="false" ht="12.8" hidden="false" customHeight="false" outlineLevel="0" collapsed="false">
      <c r="A52" s="17" t="s">
        <v>41</v>
      </c>
      <c r="B52" s="17" t="n">
        <f aca="false">ROUND(((B33*($C$2*($C$6/$G$2)))+(B42*$C$3*($C$7/$G$3))),2)</f>
        <v>1176.99</v>
      </c>
      <c r="C52" s="17" t="n">
        <f aca="false">ROUND(((C33*($C$2*($C$6/$G$2)))+(C42*$C$3*($C$7/$G$3))),2)</f>
        <v>1187.8</v>
      </c>
      <c r="D52" s="17" t="n">
        <f aca="false">ROUND(((D33*($C$2*($C$6/$G$2)))+(D42*$C$3*($C$7/$G$3))),2)</f>
        <v>1157.82</v>
      </c>
      <c r="E52" s="17" t="n">
        <f aca="false">ROUND(((E33*($C$2*($C$6/$G$2)))+(E42*$C$3*($C$7/$G$3))),2)</f>
        <v>1142.09</v>
      </c>
      <c r="F52" s="17" t="n">
        <f aca="false">ROUND(((F33*($C$2*($C$6/$G$2)))+(F42*$C$3*($C$7/$G$3))),2)</f>
        <v>1161.75</v>
      </c>
      <c r="G52" s="17" t="n">
        <f aca="false">ROUND(((G33*($C$2*($C$6/$G$2)))+(G42*$C$3*($C$7/$G$3))),2)</f>
        <v>1148.97</v>
      </c>
      <c r="H52" s="17" t="n">
        <f aca="false">ROUND(((H33*($C$2*($C$6/$G$2)))+(H42*$C$3*($C$7/$G$3))),2)</f>
        <v>1118.01</v>
      </c>
      <c r="I52" s="17" t="n">
        <f aca="false">ROUND(((I33*($C$2*($C$6/$G$2)))+(I42*$C$3*($C$7/$G$3))),2)</f>
        <v>1167.65</v>
      </c>
      <c r="J52" s="17" t="n">
        <f aca="false">ROUND(((J33*($C$2*($C$6/$G$2)))+(J42*$C$3*($C$7/$G$3))),2)</f>
        <v>1134.72</v>
      </c>
      <c r="K52" s="17" t="n">
        <f aca="false">ROUND(((K33*($C$2*($C$6/$G$2)))+(K42*$C$3*($C$7/$G$3))),2)</f>
        <v>1081.64</v>
      </c>
    </row>
    <row r="55" customFormat="false" ht="12.8" hidden="false" customHeight="false" outlineLevel="0" collapsed="false">
      <c r="A55" s="2"/>
      <c r="B55" s="0" t="s">
        <v>45</v>
      </c>
    </row>
    <row r="56" customFormat="false" ht="12.8" hidden="false" customHeight="false" outlineLevel="0" collapsed="false">
      <c r="A56" s="3"/>
      <c r="B56" s="0" t="s">
        <v>46</v>
      </c>
    </row>
    <row r="58" customFormat="false" ht="12.8" hidden="false" customHeight="false" outlineLevel="0" collapsed="false">
      <c r="A58" s="0" t="s">
        <v>47</v>
      </c>
    </row>
    <row r="59" customFormat="false" ht="12.8" hidden="false" customHeight="false" outlineLevel="0" collapsed="false">
      <c r="A59" s="0" t="s">
        <v>48</v>
      </c>
    </row>
    <row r="60" customFormat="false" ht="12.8" hidden="false" customHeight="false" outlineLevel="0" collapsed="false">
      <c r="A60" s="0" t="s">
        <v>49</v>
      </c>
    </row>
    <row r="61" customFormat="false" ht="12.8" hidden="false" customHeight="false" outlineLevel="0" collapsed="false">
      <c r="A61" s="0" t="s">
        <v>50</v>
      </c>
    </row>
    <row r="62" customFormat="false" ht="12.8" hidden="false" customHeight="false" outlineLevel="0" collapsed="false">
      <c r="A62" s="0" t="s">
        <v>51</v>
      </c>
    </row>
    <row r="63" customFormat="false" ht="12.8" hidden="false" customHeight="false" outlineLevel="0" collapsed="false">
      <c r="A63" s="4" t="s">
        <v>52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45" activeCellId="0" sqref="G45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53</v>
      </c>
    </row>
    <row r="3" customFormat="false" ht="12.8" hidden="false" customHeight="false" outlineLevel="0" collapsed="false">
      <c r="A3" s="0" t="s">
        <v>54</v>
      </c>
      <c r="B3" s="0" t="s">
        <v>55</v>
      </c>
      <c r="C3" s="0" t="s">
        <v>56</v>
      </c>
    </row>
    <row r="5" customFormat="false" ht="12.8" hidden="false" customHeight="false" outlineLevel="0" collapsed="false">
      <c r="A5" s="0" t="n">
        <v>2009</v>
      </c>
      <c r="B5" s="0" t="n">
        <v>16500</v>
      </c>
      <c r="C5" s="0" t="n">
        <v>3300</v>
      </c>
    </row>
    <row r="6" customFormat="false" ht="12.8" hidden="false" customHeight="false" outlineLevel="0" collapsed="false">
      <c r="A6" s="0" t="n">
        <v>2010</v>
      </c>
      <c r="B6" s="0" t="n">
        <v>16500</v>
      </c>
      <c r="C6" s="0" t="n">
        <v>3300</v>
      </c>
    </row>
    <row r="7" customFormat="false" ht="12.8" hidden="false" customHeight="false" outlineLevel="0" collapsed="false">
      <c r="A7" s="0" t="n">
        <v>2011</v>
      </c>
      <c r="B7" s="0" t="n">
        <v>16500</v>
      </c>
      <c r="C7" s="0" t="n">
        <v>3300</v>
      </c>
    </row>
    <row r="8" customFormat="false" ht="12.8" hidden="false" customHeight="false" outlineLevel="0" collapsed="false">
      <c r="A8" s="0" t="n">
        <v>2012</v>
      </c>
      <c r="B8" s="0" t="n">
        <v>16500</v>
      </c>
      <c r="C8" s="0" t="n">
        <v>3300</v>
      </c>
    </row>
    <row r="9" customFormat="false" ht="12.8" hidden="false" customHeight="false" outlineLevel="0" collapsed="false">
      <c r="A9" s="0" t="n">
        <v>2013</v>
      </c>
      <c r="B9" s="0" t="n">
        <v>13500</v>
      </c>
      <c r="C9" s="0" t="n">
        <v>3200</v>
      </c>
    </row>
    <row r="10" customFormat="false" ht="12.8" hidden="false" customHeight="false" outlineLevel="0" collapsed="false">
      <c r="A10" s="0" t="n">
        <v>2014</v>
      </c>
      <c r="B10" s="0" t="n">
        <v>13500</v>
      </c>
      <c r="C10" s="0" t="n">
        <v>3200</v>
      </c>
    </row>
    <row r="11" customFormat="false" ht="12.8" hidden="false" customHeight="false" outlineLevel="0" collapsed="false">
      <c r="A11" s="0" t="n">
        <v>2015</v>
      </c>
      <c r="B11" s="0" t="n">
        <v>13500</v>
      </c>
      <c r="C11" s="0" t="n">
        <v>3200</v>
      </c>
    </row>
    <row r="12" customFormat="false" ht="12.8" hidden="false" customHeight="false" outlineLevel="0" collapsed="false">
      <c r="A12" s="0" t="n">
        <v>2016</v>
      </c>
      <c r="B12" s="0" t="n">
        <v>12500</v>
      </c>
      <c r="C12" s="0" t="n">
        <v>3100</v>
      </c>
    </row>
    <row r="13" customFormat="false" ht="12.8" hidden="false" customHeight="false" outlineLevel="0" collapsed="false">
      <c r="A13" s="0" t="n">
        <v>2017</v>
      </c>
      <c r="B13" s="0" t="n">
        <v>12500</v>
      </c>
      <c r="C13" s="0" t="n">
        <v>3100</v>
      </c>
    </row>
    <row r="14" customFormat="false" ht="12.8" hidden="false" customHeight="false" outlineLevel="0" collapsed="false">
      <c r="A14" s="0" t="n">
        <v>2018</v>
      </c>
      <c r="B14" s="0" t="n">
        <v>12000</v>
      </c>
      <c r="C14" s="0" t="n">
        <v>3100</v>
      </c>
    </row>
    <row r="15" customFormat="false" ht="12.8" hidden="false" customHeight="false" outlineLevel="0" collapsed="false">
      <c r="A15" s="0" t="n">
        <v>2019</v>
      </c>
      <c r="B15" s="0" t="n">
        <v>12000</v>
      </c>
      <c r="C15" s="0" t="n">
        <v>2900</v>
      </c>
    </row>
    <row r="16" customFormat="false" ht="12.8" hidden="false" customHeight="false" outlineLevel="0" collapsed="false">
      <c r="A16" s="0" t="n">
        <v>2020</v>
      </c>
      <c r="B16" s="0" t="n">
        <v>12000</v>
      </c>
      <c r="C16" s="0" t="n">
        <v>2900</v>
      </c>
    </row>
    <row r="17" customFormat="false" ht="12.8" hidden="false" customHeight="false" outlineLevel="0" collapsed="false">
      <c r="A17" s="0" t="n">
        <v>2021</v>
      </c>
      <c r="B17" s="0" t="n">
        <v>12000</v>
      </c>
      <c r="C17" s="0" t="n">
        <v>2900</v>
      </c>
    </row>
    <row r="21" customFormat="false" ht="12.8" hidden="false" customHeight="false" outlineLevel="0" collapsed="false">
      <c r="A21" s="0" t="s">
        <v>57</v>
      </c>
    </row>
    <row r="22" customFormat="false" ht="12.8" hidden="false" customHeight="false" outlineLevel="0" collapsed="false">
      <c r="A22" s="0" t="s">
        <v>58</v>
      </c>
    </row>
    <row r="23" customFormat="false" ht="12.8" hidden="false" customHeight="false" outlineLevel="0" collapsed="false">
      <c r="A23" s="0" t="s">
        <v>59</v>
      </c>
    </row>
    <row r="24" customFormat="false" ht="12.8" hidden="false" customHeight="false" outlineLevel="0" collapsed="false">
      <c r="A24" s="0" t="s">
        <v>60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1379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2021-04-01T15:24:27Z</dcterms:created>
  <dc:creator/>
  <dc:description/>
  <dc:language>en-GB</dc:language>
  <cp:lastModifiedBy/>
  <dcterms:modified xsi:type="dcterms:W3CDTF">2021-04-05T10:43:09Z</dcterms:modified>
  <cp:revision>112</cp:revision>
  <dc:subject/>
  <dc:title/>
</cp:coreProperties>
</file>